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6268" windowHeight="12444" activeTab="0"/>
  </bookViews>
  <sheets>
    <sheet name="Sheet1" sheetId="1" r:id="rId1"/>
  </sheets>
  <externalReferences>
    <externalReference r:id="rId4"/>
  </externalReferences>
  <definedNames>
    <definedName name="Kontakter">#REF!</definedName>
    <definedName name="LastRow">#REF!</definedName>
    <definedName name="rngMailTo">#REF!</definedName>
    <definedName name="Telefonnumre">#REF!</definedName>
  </definedNames>
  <calcPr fullCalcOnLoad="1"/>
</workbook>
</file>

<file path=xl/sharedStrings.xml><?xml version="1.0" encoding="utf-8"?>
<sst xmlns="http://schemas.openxmlformats.org/spreadsheetml/2006/main" count="276" uniqueCount="87">
  <si>
    <t>Opgave 8</t>
  </si>
  <si>
    <t>Opgave 7</t>
  </si>
  <si>
    <t>Opgave 6</t>
  </si>
  <si>
    <t>Opgave 5</t>
  </si>
  <si>
    <t>Brændværdi for olie</t>
  </si>
  <si>
    <t>kWh / kg</t>
  </si>
  <si>
    <t xml:space="preserve">Familien anvender i alt </t>
  </si>
  <si>
    <t>Energipris for olien er</t>
  </si>
  <si>
    <t>kr / kWh</t>
  </si>
  <si>
    <t>Årlig besparelse</t>
  </si>
  <si>
    <t>Årlig udgift til el</t>
  </si>
  <si>
    <t>Investering</t>
  </si>
  <si>
    <t>Simpel tilbagebetalingstid</t>
  </si>
  <si>
    <t>Årlige serviceomkostninger</t>
  </si>
  <si>
    <t>kr.</t>
  </si>
  <si>
    <t>år</t>
  </si>
  <si>
    <t>Anden vedvarende energi:</t>
  </si>
  <si>
    <t>%</t>
  </si>
  <si>
    <t>Vindkraft:</t>
  </si>
  <si>
    <t>Naturgas:</t>
  </si>
  <si>
    <t>Olie:</t>
  </si>
  <si>
    <t>Kul:</t>
  </si>
  <si>
    <t>PJ</t>
  </si>
  <si>
    <t>Affald. Ikke bionedbrydeligt</t>
  </si>
  <si>
    <t xml:space="preserve">  Total</t>
  </si>
  <si>
    <t>kg / GJ</t>
  </si>
  <si>
    <t>PJ er lig</t>
  </si>
  <si>
    <t>PJ er lig med</t>
  </si>
  <si>
    <t>GJ</t>
  </si>
  <si>
    <t>Specfik udledning</t>
  </si>
  <si>
    <t>Produceret el</t>
  </si>
  <si>
    <t>Indfyret energi</t>
  </si>
  <si>
    <t>Virkningsgrad</t>
  </si>
  <si>
    <t>Fordeling</t>
  </si>
  <si>
    <t>Indfyret energi (PJ)</t>
  </si>
  <si>
    <t>Indfyret energi (GJ)</t>
  </si>
  <si>
    <t>ton CO2</t>
  </si>
  <si>
    <t>ton CO3</t>
  </si>
  <si>
    <t>ton CO4</t>
  </si>
  <si>
    <t>ton CO5</t>
  </si>
  <si>
    <t>ton CO6</t>
  </si>
  <si>
    <t>ton CO7</t>
  </si>
  <si>
    <t>Samlet produceret mængde el</t>
  </si>
  <si>
    <t>kWh</t>
  </si>
  <si>
    <t xml:space="preserve">I alt udledes der  </t>
  </si>
  <si>
    <t>Resultater bliver således:</t>
  </si>
  <si>
    <t>kg CO2 / kWh</t>
  </si>
  <si>
    <t>Hvilket svarer til</t>
  </si>
  <si>
    <t>g CO2 / kWh</t>
  </si>
  <si>
    <t>ton CO2 er lig</t>
  </si>
  <si>
    <t>kg CO2</t>
  </si>
  <si>
    <t>Solvarme-anlæg
type</t>
  </si>
  <si>
    <t>Varmebesparelse
(solf.: syd, 45°)
pr. m2 solfanger kWh/år</t>
  </si>
  <si>
    <t>Merforbrug el
pr. m2 solfanger kWh/år</t>
  </si>
  <si>
    <t>O1
SSØ-SSV, 15-75°
Faktor = 1,0</t>
  </si>
  <si>
    <t>O4
Andre orienteringer
Faktor = 0</t>
  </si>
  <si>
    <t>BV2</t>
  </si>
  <si>
    <t>O3
Ø-V
Faktor = 0,8</t>
  </si>
  <si>
    <t>O2
ØSØ-VSV
Faktor = 0,9</t>
  </si>
  <si>
    <t>Varmebesparelse korrigeret for solfangers orientering og hældning</t>
  </si>
  <si>
    <t>CO2 udledning el</t>
  </si>
  <si>
    <t>CO2 udledning i ton</t>
  </si>
  <si>
    <t>g CO2 / kWh for olie</t>
  </si>
  <si>
    <t>Specifik udledning for olie</t>
  </si>
  <si>
    <t>Total udledning for varmen</t>
  </si>
  <si>
    <t>Total udledning for el og varme</t>
  </si>
  <si>
    <t>Varmebesparelse per m2</t>
  </si>
  <si>
    <t>kWh / m2</t>
  </si>
  <si>
    <t>Antal m2</t>
  </si>
  <si>
    <t>m2</t>
  </si>
  <si>
    <t>Total besparelse</t>
  </si>
  <si>
    <t>Andel af husstandens varmeforbrug</t>
  </si>
  <si>
    <t>Opgave 9</t>
  </si>
  <si>
    <t>Opgave 10</t>
  </si>
  <si>
    <t>Antal m2 solceller</t>
  </si>
  <si>
    <t>Årlig produktion</t>
  </si>
  <si>
    <t>Total årlig produktion</t>
  </si>
  <si>
    <t>Elpris</t>
  </si>
  <si>
    <t>kr. / kWh</t>
  </si>
  <si>
    <t xml:space="preserve">kr.   </t>
  </si>
  <si>
    <t>Årlig besparelse på elregningen</t>
  </si>
  <si>
    <t>Opgave 11</t>
  </si>
  <si>
    <t>Tilgængelig mængde strøm</t>
  </si>
  <si>
    <t>Forbrug per km</t>
  </si>
  <si>
    <t>Antal mulige km per år</t>
  </si>
  <si>
    <t>km / kWh</t>
  </si>
  <si>
    <t>km</t>
  </si>
</sst>
</file>

<file path=xl/styles.xml><?xml version="1.0" encoding="utf-8"?>
<styleSheet xmlns="http://schemas.openxmlformats.org/spreadsheetml/2006/main">
  <numFmts count="5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.&quot;\ #,##0_);\(&quot;kr.&quot;\ #,##0\)"/>
    <numFmt numFmtId="181" formatCode="&quot;kr.&quot;\ #,##0_);[Red]\(&quot;kr.&quot;\ #,##0\)"/>
    <numFmt numFmtId="182" formatCode="&quot;kr.&quot;\ #,##0.00_);\(&quot;kr.&quot;\ #,##0.00\)"/>
    <numFmt numFmtId="183" formatCode="&quot;kr.&quot;\ #,##0.00_);[Red]\(&quot;kr.&quot;\ #,##0.00\)"/>
    <numFmt numFmtId="184" formatCode="_(&quot;kr.&quot;\ * #,##0_);_(&quot;kr.&quot;\ * \(#,##0\);_(&quot;kr.&quot;\ * &quot;-&quot;_);_(@_)"/>
    <numFmt numFmtId="185" formatCode="_(&quot;kr.&quot;\ * #,##0.00_);_(&quot;kr.&quot;\ * \(#,##0.00\);_(&quot;kr.&quot;\ 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[$-406]d\.\ mmmm\ yyyy"/>
    <numFmt numFmtId="198" formatCode="dd\.mm\.yyyy;@"/>
    <numFmt numFmtId="199" formatCode="[$-406]mmmm\ yy;@"/>
    <numFmt numFmtId="200" formatCode="[$-406]mmmmm/yy;@"/>
    <numFmt numFmtId="201" formatCode="[$-F800]dddd\,\ mmmm\ dd\,\ yyyy"/>
    <numFmt numFmtId="202" formatCode="mmm/yyyy"/>
    <numFmt numFmtId="203" formatCode="0.0_)"/>
    <numFmt numFmtId="204" formatCode="_ &quot;kr&quot;\ * #,##0.00_ ;_ &quot;kr&quot;\ * \-#,##0.00_ ;_ &quot;kr&quot;\ * &quot;-&quot;??_ ;_ @_ "/>
    <numFmt numFmtId="205" formatCode="_ &quot;kr&quot;\ * #,##0_ ;_ &quot;kr&quot;\ * \-#,##0_ ;_ &quot;kr&quot;\ * &quot;-&quot;_ ;_ @_ "/>
    <numFmt numFmtId="206" formatCode="#,##0.0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22" borderId="3" applyNumberFormat="0" applyAlignment="0" applyProtection="0"/>
    <xf numFmtId="0" fontId="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17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190" fontId="0" fillId="0" borderId="0" xfId="0" applyNumberFormat="1" applyAlignment="1">
      <alignment/>
    </xf>
    <xf numFmtId="0" fontId="23" fillId="0" borderId="10" xfId="0" applyFont="1" applyBorder="1" applyAlignment="1">
      <alignment/>
    </xf>
    <xf numFmtId="0" fontId="0" fillId="0" borderId="10" xfId="0" applyBorder="1" applyAlignment="1">
      <alignment/>
    </xf>
    <xf numFmtId="19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23" borderId="11" xfId="0" applyNumberFormat="1" applyFill="1" applyBorder="1" applyAlignment="1">
      <alignment/>
    </xf>
    <xf numFmtId="3" fontId="0" fillId="23" borderId="0" xfId="0" applyNumberFormat="1" applyFill="1" applyBorder="1" applyAlignment="1">
      <alignment/>
    </xf>
    <xf numFmtId="0" fontId="0" fillId="24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1" fontId="4" fillId="4" borderId="12" xfId="0" applyNumberFormat="1" applyFont="1" applyFill="1" applyBorder="1" applyAlignment="1">
      <alignment horizontal="center" vertical="center" wrapText="1"/>
    </xf>
    <xf numFmtId="1" fontId="4" fillId="16" borderId="12" xfId="0" applyNumberFormat="1" applyFont="1" applyFill="1" applyBorder="1" applyAlignment="1">
      <alignment horizontal="center" vertical="center" wrapText="1"/>
    </xf>
    <xf numFmtId="1" fontId="4" fillId="26" borderId="12" xfId="0" applyNumberFormat="1" applyFont="1" applyFill="1" applyBorder="1" applyAlignment="1">
      <alignment horizontal="center" vertical="center" wrapText="1"/>
    </xf>
    <xf numFmtId="1" fontId="4" fillId="7" borderId="12" xfId="0" applyNumberFormat="1" applyFont="1" applyFill="1" applyBorder="1" applyAlignment="1">
      <alignment horizontal="center" vertical="center" wrapText="1"/>
    </xf>
    <xf numFmtId="0" fontId="0" fillId="14" borderId="13" xfId="0" applyFont="1" applyFill="1" applyBorder="1" applyAlignment="1">
      <alignment horizontal="center" vertical="center" wrapText="1"/>
    </xf>
    <xf numFmtId="0" fontId="0" fillId="14" borderId="14" xfId="0" applyFont="1" applyFill="1" applyBorder="1" applyAlignment="1">
      <alignment horizontal="center" vertical="center" wrapText="1"/>
    </xf>
    <xf numFmtId="0" fontId="0" fillId="14" borderId="15" xfId="0" applyFont="1" applyFill="1" applyBorder="1" applyAlignment="1">
      <alignment horizontal="center" vertical="center" wrapText="1"/>
    </xf>
    <xf numFmtId="190" fontId="0" fillId="0" borderId="11" xfId="0" applyNumberFormat="1" applyBorder="1" applyAlignment="1">
      <alignment/>
    </xf>
    <xf numFmtId="0" fontId="25" fillId="0" borderId="0" xfId="0" applyFont="1" applyAlignment="1">
      <alignment/>
    </xf>
    <xf numFmtId="0" fontId="0" fillId="14" borderId="16" xfId="0" applyFont="1" applyFill="1" applyBorder="1" applyAlignment="1">
      <alignment horizontal="center" vertical="center" wrapText="1"/>
    </xf>
    <xf numFmtId="0" fontId="0" fillId="14" borderId="17" xfId="0" applyFont="1" applyFill="1" applyBorder="1" applyAlignment="1">
      <alignment horizontal="center" vertical="center" wrapText="1"/>
    </xf>
    <xf numFmtId="0" fontId="0" fillId="14" borderId="18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9F9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JIL%20work\!Teori\N&#248;lgetal\Energin&#248;gle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misionsdata"/>
    </sheetNames>
    <sheetDataSet>
      <sheetData sheetId="0">
        <row r="31">
          <cell r="D31">
            <v>11.861111111111112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104"/>
  <sheetViews>
    <sheetView showGridLines="0" tabSelected="1" zoomScalePageLayoutView="0" workbookViewId="0" topLeftCell="A49">
      <selection activeCell="K11" sqref="K11"/>
    </sheetView>
  </sheetViews>
  <sheetFormatPr defaultColWidth="9.140625" defaultRowHeight="12.75"/>
  <cols>
    <col min="1" max="1" width="9.140625" style="31" customWidth="1"/>
    <col min="2" max="2" width="30.00390625" style="0" customWidth="1"/>
    <col min="3" max="3" width="14.7109375" style="0" customWidth="1"/>
    <col min="4" max="4" width="14.8515625" style="0" customWidth="1"/>
    <col min="5" max="5" width="15.00390625" style="0" customWidth="1"/>
    <col min="6" max="6" width="5.8515625" style="0" customWidth="1"/>
    <col min="7" max="7" width="13.140625" style="0" customWidth="1"/>
    <col min="8" max="8" width="7.57421875" style="0" customWidth="1"/>
    <col min="9" max="9" width="11.57421875" style="0" customWidth="1"/>
    <col min="11" max="11" width="18.7109375" style="0" customWidth="1"/>
    <col min="12" max="12" width="17.7109375" style="0" customWidth="1"/>
    <col min="13" max="16" width="18.00390625" style="0" customWidth="1"/>
  </cols>
  <sheetData>
    <row r="1" spans="2:18" ht="15">
      <c r="B1" s="11"/>
      <c r="C1" s="1"/>
      <c r="D1" s="1"/>
      <c r="L1" s="35" t="s">
        <v>51</v>
      </c>
      <c r="M1" s="37" t="s">
        <v>52</v>
      </c>
      <c r="N1" s="37" t="s">
        <v>53</v>
      </c>
      <c r="O1" s="32" t="s">
        <v>59</v>
      </c>
      <c r="P1" s="33"/>
      <c r="Q1" s="33"/>
      <c r="R1" s="34"/>
    </row>
    <row r="2" spans="2:18" ht="79.5" thickBot="1">
      <c r="B2" s="11"/>
      <c r="C2" s="1"/>
      <c r="D2" s="1"/>
      <c r="L2" s="36"/>
      <c r="M2" s="38"/>
      <c r="N2" s="38"/>
      <c r="O2" s="27" t="s">
        <v>54</v>
      </c>
      <c r="P2" s="28" t="s">
        <v>58</v>
      </c>
      <c r="Q2" s="28" t="s">
        <v>57</v>
      </c>
      <c r="R2" s="29" t="s">
        <v>55</v>
      </c>
    </row>
    <row r="3" spans="1:18" ht="15">
      <c r="A3" s="31" t="s">
        <v>3</v>
      </c>
      <c r="B3" s="11"/>
      <c r="C3" s="1"/>
      <c r="D3" s="1"/>
      <c r="E3" s="6"/>
      <c r="L3" s="21" t="s">
        <v>56</v>
      </c>
      <c r="M3" s="22">
        <v>528</v>
      </c>
      <c r="N3" s="22">
        <v>19</v>
      </c>
      <c r="O3" s="23">
        <v>528</v>
      </c>
      <c r="P3" s="24">
        <v>475.2</v>
      </c>
      <c r="Q3" s="25">
        <v>422.4</v>
      </c>
      <c r="R3" s="26">
        <v>0</v>
      </c>
    </row>
    <row r="4" spans="3:9" ht="15">
      <c r="C4" s="4" t="s">
        <v>30</v>
      </c>
      <c r="D4" s="4"/>
      <c r="E4" s="4" t="s">
        <v>33</v>
      </c>
      <c r="F4" s="4"/>
      <c r="G4" s="4" t="s">
        <v>31</v>
      </c>
      <c r="H4" s="4"/>
      <c r="I4" s="4" t="s">
        <v>32</v>
      </c>
    </row>
    <row r="5" spans="2:9" ht="15">
      <c r="B5" s="5" t="s">
        <v>16</v>
      </c>
      <c r="C5">
        <f>36.184-C6</f>
        <v>11.989999999999998</v>
      </c>
      <c r="D5" t="s">
        <v>22</v>
      </c>
      <c r="E5" s="6">
        <f>C5/$C$11*100</f>
        <v>9.160013751480193</v>
      </c>
      <c r="F5" t="s">
        <v>17</v>
      </c>
      <c r="G5" s="14">
        <v>32.938</v>
      </c>
      <c r="H5" s="2" t="s">
        <v>22</v>
      </c>
      <c r="I5" s="2">
        <f aca="true" t="shared" si="0" ref="I5:I10">C5/G5*100</f>
        <v>36.40172445200072</v>
      </c>
    </row>
    <row r="6" spans="2:9" ht="15">
      <c r="B6" s="5" t="s">
        <v>18</v>
      </c>
      <c r="C6">
        <v>24.194</v>
      </c>
      <c r="D6" t="s">
        <v>22</v>
      </c>
      <c r="E6" s="6">
        <f aca="true" t="shared" si="1" ref="E6:E11">C6/$C$11*100</f>
        <v>18.483517323045188</v>
      </c>
      <c r="F6" t="s">
        <v>17</v>
      </c>
      <c r="G6" s="14">
        <v>24.194</v>
      </c>
      <c r="H6" s="2" t="s">
        <v>22</v>
      </c>
      <c r="I6" s="2">
        <f t="shared" si="0"/>
        <v>100</v>
      </c>
    </row>
    <row r="7" spans="2:9" ht="15">
      <c r="B7" s="5" t="s">
        <v>19</v>
      </c>
      <c r="C7">
        <v>24.241</v>
      </c>
      <c r="D7" t="s">
        <v>22</v>
      </c>
      <c r="E7" s="6">
        <f t="shared" si="1"/>
        <v>18.51942396577409</v>
      </c>
      <c r="F7" t="s">
        <v>17</v>
      </c>
      <c r="G7" s="14">
        <v>49.386</v>
      </c>
      <c r="H7" s="2" t="s">
        <v>22</v>
      </c>
      <c r="I7" s="2">
        <f t="shared" si="0"/>
        <v>49.08476086340258</v>
      </c>
    </row>
    <row r="8" spans="2:9" ht="15">
      <c r="B8" s="5" t="s">
        <v>20</v>
      </c>
      <c r="C8">
        <v>4.219</v>
      </c>
      <c r="D8" t="s">
        <v>22</v>
      </c>
      <c r="E8" s="6">
        <f t="shared" si="1"/>
        <v>3.2231941632606285</v>
      </c>
      <c r="F8" t="s">
        <v>17</v>
      </c>
      <c r="G8" s="14">
        <v>10.865</v>
      </c>
      <c r="H8" s="2" t="s">
        <v>22</v>
      </c>
      <c r="I8" s="2">
        <f t="shared" si="0"/>
        <v>38.83110906580764</v>
      </c>
    </row>
    <row r="9" spans="2:9" ht="15">
      <c r="B9" s="5" t="s">
        <v>21</v>
      </c>
      <c r="C9">
        <v>63.678</v>
      </c>
      <c r="D9" t="s">
        <v>22</v>
      </c>
      <c r="E9" s="6">
        <f t="shared" si="1"/>
        <v>48.648153099812816</v>
      </c>
      <c r="F9" t="s">
        <v>17</v>
      </c>
      <c r="G9" s="14">
        <v>146.156</v>
      </c>
      <c r="H9" s="2" t="s">
        <v>22</v>
      </c>
      <c r="I9" s="2">
        <f t="shared" si="0"/>
        <v>43.568515832398255</v>
      </c>
    </row>
    <row r="10" spans="2:9" ht="15">
      <c r="B10" s="7" t="s">
        <v>23</v>
      </c>
      <c r="C10" s="8">
        <v>2.573</v>
      </c>
      <c r="D10" s="8" t="s">
        <v>22</v>
      </c>
      <c r="E10" s="6">
        <f t="shared" si="1"/>
        <v>1.9656976966270674</v>
      </c>
      <c r="F10" s="8" t="s">
        <v>17</v>
      </c>
      <c r="G10" s="15">
        <v>8.6</v>
      </c>
      <c r="H10" s="13" t="s">
        <v>22</v>
      </c>
      <c r="I10" s="13">
        <f t="shared" si="0"/>
        <v>29.918604651162788</v>
      </c>
    </row>
    <row r="11" spans="2:8" ht="15">
      <c r="B11" s="5" t="s">
        <v>24</v>
      </c>
      <c r="C11" s="6">
        <f>SUM(C5:C10)</f>
        <v>130.895</v>
      </c>
      <c r="D11" t="s">
        <v>22</v>
      </c>
      <c r="E11" s="30">
        <f t="shared" si="1"/>
        <v>100</v>
      </c>
      <c r="F11" s="10" t="s">
        <v>17</v>
      </c>
      <c r="G11" s="2">
        <f>SUM(G5:G10)</f>
        <v>272.139</v>
      </c>
      <c r="H11" s="2" t="s">
        <v>22</v>
      </c>
    </row>
    <row r="12" ht="15">
      <c r="A12" s="31" t="s">
        <v>2</v>
      </c>
    </row>
    <row r="13" spans="3:9" ht="15">
      <c r="C13" s="4" t="s">
        <v>34</v>
      </c>
      <c r="E13" s="4" t="s">
        <v>35</v>
      </c>
      <c r="G13" s="4" t="s">
        <v>29</v>
      </c>
      <c r="I13" s="4" t="s">
        <v>61</v>
      </c>
    </row>
    <row r="14" spans="2:10" ht="15">
      <c r="B14" s="5" t="s">
        <v>16</v>
      </c>
      <c r="C14" s="14">
        <f aca="true" t="shared" si="2" ref="C14:C19">G5</f>
        <v>32.938</v>
      </c>
      <c r="D14" t="s">
        <v>27</v>
      </c>
      <c r="E14" s="2">
        <f aca="true" t="shared" si="3" ref="E14:E19">C14*1000000</f>
        <v>32938000.000000004</v>
      </c>
      <c r="F14" t="s">
        <v>28</v>
      </c>
      <c r="G14">
        <v>0</v>
      </c>
      <c r="H14" t="s">
        <v>25</v>
      </c>
      <c r="I14" s="12">
        <f aca="true" t="shared" si="4" ref="I14:I19">G14*E14/1000</f>
        <v>0</v>
      </c>
      <c r="J14" t="s">
        <v>36</v>
      </c>
    </row>
    <row r="15" spans="2:10" ht="15">
      <c r="B15" s="5" t="s">
        <v>18</v>
      </c>
      <c r="C15" s="14">
        <f t="shared" si="2"/>
        <v>24.194</v>
      </c>
      <c r="D15" t="s">
        <v>27</v>
      </c>
      <c r="E15" s="2">
        <f t="shared" si="3"/>
        <v>24194000</v>
      </c>
      <c r="F15" t="s">
        <v>28</v>
      </c>
      <c r="G15">
        <v>0</v>
      </c>
      <c r="H15" t="s">
        <v>25</v>
      </c>
      <c r="I15" s="12">
        <f t="shared" si="4"/>
        <v>0</v>
      </c>
      <c r="J15" t="s">
        <v>36</v>
      </c>
    </row>
    <row r="16" spans="2:10" ht="15">
      <c r="B16" s="5" t="s">
        <v>19</v>
      </c>
      <c r="C16" s="14">
        <f t="shared" si="2"/>
        <v>49.386</v>
      </c>
      <c r="D16" t="s">
        <v>27</v>
      </c>
      <c r="E16" s="2">
        <f t="shared" si="3"/>
        <v>49386000</v>
      </c>
      <c r="F16" t="s">
        <v>28</v>
      </c>
      <c r="G16">
        <v>56.69</v>
      </c>
      <c r="H16" t="s">
        <v>25</v>
      </c>
      <c r="I16" s="2">
        <f t="shared" si="4"/>
        <v>2799692.34</v>
      </c>
      <c r="J16" t="s">
        <v>36</v>
      </c>
    </row>
    <row r="17" spans="2:10" ht="15">
      <c r="B17" s="5" t="s">
        <v>20</v>
      </c>
      <c r="C17" s="14">
        <f t="shared" si="2"/>
        <v>10.865</v>
      </c>
      <c r="D17" t="s">
        <v>27</v>
      </c>
      <c r="E17" s="2">
        <f t="shared" si="3"/>
        <v>10865000</v>
      </c>
      <c r="F17" t="s">
        <v>28</v>
      </c>
      <c r="G17">
        <v>78</v>
      </c>
      <c r="H17" t="s">
        <v>25</v>
      </c>
      <c r="I17" s="2">
        <f t="shared" si="4"/>
        <v>847470</v>
      </c>
      <c r="J17" t="s">
        <v>36</v>
      </c>
    </row>
    <row r="18" spans="2:10" ht="15">
      <c r="B18" s="5" t="s">
        <v>21</v>
      </c>
      <c r="C18" s="14">
        <f t="shared" si="2"/>
        <v>146.156</v>
      </c>
      <c r="D18" t="s">
        <v>27</v>
      </c>
      <c r="E18" s="2">
        <f t="shared" si="3"/>
        <v>146156000</v>
      </c>
      <c r="F18" t="s">
        <v>28</v>
      </c>
      <c r="G18">
        <v>95</v>
      </c>
      <c r="H18" t="s">
        <v>25</v>
      </c>
      <c r="I18" s="2">
        <f t="shared" si="4"/>
        <v>13884820</v>
      </c>
      <c r="J18" t="s">
        <v>36</v>
      </c>
    </row>
    <row r="19" spans="2:10" ht="15">
      <c r="B19" s="7" t="s">
        <v>23</v>
      </c>
      <c r="C19" s="15">
        <f t="shared" si="2"/>
        <v>8.6</v>
      </c>
      <c r="D19" s="8" t="s">
        <v>27</v>
      </c>
      <c r="E19" s="13">
        <f t="shared" si="3"/>
        <v>8600000</v>
      </c>
      <c r="F19" s="8" t="s">
        <v>28</v>
      </c>
      <c r="G19" s="8">
        <v>32.5</v>
      </c>
      <c r="H19" s="8" t="s">
        <v>25</v>
      </c>
      <c r="I19" s="2">
        <f t="shared" si="4"/>
        <v>279500</v>
      </c>
      <c r="J19" s="8" t="s">
        <v>36</v>
      </c>
    </row>
    <row r="20" spans="2:10" ht="15">
      <c r="B20" s="5" t="s">
        <v>24</v>
      </c>
      <c r="C20" s="6">
        <f>SUM(C14:C19)</f>
        <v>272.139</v>
      </c>
      <c r="D20" t="s">
        <v>22</v>
      </c>
      <c r="E20" s="2">
        <f>SUM(E14:E19)</f>
        <v>272139000</v>
      </c>
      <c r="F20" t="s">
        <v>28</v>
      </c>
      <c r="I20" s="18">
        <f>SUM(I14:I19)</f>
        <v>17811482.34</v>
      </c>
      <c r="J20" t="s">
        <v>36</v>
      </c>
    </row>
    <row r="23" spans="3:9" ht="15">
      <c r="C23" s="16" t="s">
        <v>30</v>
      </c>
      <c r="D23" s="16"/>
      <c r="E23" s="16" t="s">
        <v>33</v>
      </c>
      <c r="F23" s="16"/>
      <c r="G23" s="16" t="s">
        <v>31</v>
      </c>
      <c r="H23" s="16"/>
      <c r="I23" s="16" t="s">
        <v>32</v>
      </c>
    </row>
    <row r="24" spans="2:9" ht="15">
      <c r="B24" s="5" t="s">
        <v>16</v>
      </c>
      <c r="D24" t="s">
        <v>22</v>
      </c>
      <c r="E24" s="6"/>
      <c r="F24" t="s">
        <v>17</v>
      </c>
      <c r="G24" s="14"/>
      <c r="H24" s="2" t="s">
        <v>22</v>
      </c>
      <c r="I24" s="2"/>
    </row>
    <row r="25" spans="2:9" ht="15">
      <c r="B25" s="5" t="s">
        <v>18</v>
      </c>
      <c r="D25" t="s">
        <v>22</v>
      </c>
      <c r="E25" s="6"/>
      <c r="F25" t="s">
        <v>17</v>
      </c>
      <c r="G25" s="14"/>
      <c r="H25" s="2" t="s">
        <v>22</v>
      </c>
      <c r="I25" s="2"/>
    </row>
    <row r="26" spans="2:9" ht="15">
      <c r="B26" s="5" t="s">
        <v>19</v>
      </c>
      <c r="D26" t="s">
        <v>22</v>
      </c>
      <c r="E26" s="6"/>
      <c r="F26" t="s">
        <v>17</v>
      </c>
      <c r="G26" s="14"/>
      <c r="H26" s="2" t="s">
        <v>22</v>
      </c>
      <c r="I26" s="2"/>
    </row>
    <row r="27" spans="2:9" ht="15">
      <c r="B27" s="5" t="s">
        <v>20</v>
      </c>
      <c r="D27" t="s">
        <v>22</v>
      </c>
      <c r="E27" s="6"/>
      <c r="F27" t="s">
        <v>17</v>
      </c>
      <c r="G27" s="14"/>
      <c r="H27" s="2" t="s">
        <v>22</v>
      </c>
      <c r="I27" s="2"/>
    </row>
    <row r="28" spans="2:9" ht="15">
      <c r="B28" s="5" t="s">
        <v>21</v>
      </c>
      <c r="D28" t="s">
        <v>22</v>
      </c>
      <c r="E28" s="6"/>
      <c r="F28" t="s">
        <v>17</v>
      </c>
      <c r="G28" s="14"/>
      <c r="H28" s="2" t="s">
        <v>22</v>
      </c>
      <c r="I28" s="2"/>
    </row>
    <row r="29" spans="2:9" ht="15">
      <c r="B29" s="7" t="s">
        <v>23</v>
      </c>
      <c r="C29" s="8"/>
      <c r="D29" s="8" t="s">
        <v>22</v>
      </c>
      <c r="E29" s="9"/>
      <c r="F29" s="8" t="s">
        <v>17</v>
      </c>
      <c r="G29" s="15"/>
      <c r="H29" s="13" t="s">
        <v>22</v>
      </c>
      <c r="I29" s="13"/>
    </row>
    <row r="30" spans="2:8" ht="15">
      <c r="B30" s="5" t="s">
        <v>24</v>
      </c>
      <c r="C30" s="6"/>
      <c r="D30" t="s">
        <v>22</v>
      </c>
      <c r="E30" s="6"/>
      <c r="F30" s="10" t="s">
        <v>17</v>
      </c>
      <c r="G30" s="2"/>
      <c r="H30" s="2" t="s">
        <v>22</v>
      </c>
    </row>
    <row r="32" spans="3:9" ht="15">
      <c r="C32" s="4" t="s">
        <v>34</v>
      </c>
      <c r="E32" s="4" t="s">
        <v>35</v>
      </c>
      <c r="G32" s="4" t="s">
        <v>29</v>
      </c>
      <c r="I32" s="4" t="s">
        <v>61</v>
      </c>
    </row>
    <row r="33" spans="2:10" ht="15">
      <c r="B33" s="5" t="s">
        <v>16</v>
      </c>
      <c r="C33" s="14"/>
      <c r="D33" t="s">
        <v>27</v>
      </c>
      <c r="E33" s="2"/>
      <c r="F33" t="s">
        <v>28</v>
      </c>
      <c r="H33" t="s">
        <v>25</v>
      </c>
      <c r="J33" t="s">
        <v>36</v>
      </c>
    </row>
    <row r="34" spans="2:10" ht="15">
      <c r="B34" s="5" t="s">
        <v>18</v>
      </c>
      <c r="C34" s="14"/>
      <c r="D34" t="s">
        <v>27</v>
      </c>
      <c r="E34" s="2"/>
      <c r="F34" t="s">
        <v>28</v>
      </c>
      <c r="H34" t="s">
        <v>25</v>
      </c>
      <c r="J34" t="s">
        <v>37</v>
      </c>
    </row>
    <row r="35" spans="2:10" ht="15">
      <c r="B35" s="5" t="s">
        <v>19</v>
      </c>
      <c r="C35" s="14"/>
      <c r="D35" t="s">
        <v>27</v>
      </c>
      <c r="E35" s="2"/>
      <c r="F35" t="s">
        <v>28</v>
      </c>
      <c r="H35" t="s">
        <v>25</v>
      </c>
      <c r="J35" t="s">
        <v>38</v>
      </c>
    </row>
    <row r="36" spans="2:10" ht="15">
      <c r="B36" s="5" t="s">
        <v>20</v>
      </c>
      <c r="C36" s="14"/>
      <c r="D36" t="s">
        <v>27</v>
      </c>
      <c r="E36" s="2"/>
      <c r="F36" t="s">
        <v>28</v>
      </c>
      <c r="H36" t="s">
        <v>25</v>
      </c>
      <c r="J36" t="s">
        <v>39</v>
      </c>
    </row>
    <row r="37" spans="2:10" ht="15">
      <c r="B37" s="5" t="s">
        <v>21</v>
      </c>
      <c r="C37" s="14"/>
      <c r="D37" t="s">
        <v>27</v>
      </c>
      <c r="E37" s="2"/>
      <c r="F37" t="s">
        <v>28</v>
      </c>
      <c r="H37" t="s">
        <v>25</v>
      </c>
      <c r="J37" t="s">
        <v>40</v>
      </c>
    </row>
    <row r="38" spans="2:10" ht="15">
      <c r="B38" s="7" t="s">
        <v>23</v>
      </c>
      <c r="C38" s="15"/>
      <c r="D38" s="8" t="s">
        <v>27</v>
      </c>
      <c r="E38" s="13"/>
      <c r="F38" s="8" t="s">
        <v>28</v>
      </c>
      <c r="G38" s="8"/>
      <c r="H38" s="8" t="s">
        <v>25</v>
      </c>
      <c r="I38" s="8"/>
      <c r="J38" t="s">
        <v>41</v>
      </c>
    </row>
    <row r="39" spans="2:6" ht="15">
      <c r="B39" s="5" t="s">
        <v>24</v>
      </c>
      <c r="C39" s="6"/>
      <c r="D39" t="s">
        <v>22</v>
      </c>
      <c r="E39" s="2"/>
      <c r="F39" t="s">
        <v>28</v>
      </c>
    </row>
    <row r="41" ht="15">
      <c r="A41" s="31" t="s">
        <v>1</v>
      </c>
    </row>
    <row r="42" spans="3:7" ht="15">
      <c r="C42" s="4" t="s">
        <v>30</v>
      </c>
      <c r="D42" s="4"/>
      <c r="E42" s="4" t="s">
        <v>31</v>
      </c>
      <c r="F42" s="4"/>
      <c r="G42" s="4" t="s">
        <v>32</v>
      </c>
    </row>
    <row r="43" spans="2:8" ht="15">
      <c r="B43" s="5" t="s">
        <v>16</v>
      </c>
      <c r="C43">
        <v>11.99</v>
      </c>
      <c r="D43" t="s">
        <v>22</v>
      </c>
      <c r="E43" s="14">
        <v>32.938</v>
      </c>
      <c r="F43" s="2" t="s">
        <v>22</v>
      </c>
      <c r="G43" s="2">
        <v>36.40172445200072</v>
      </c>
      <c r="H43" s="2" t="s">
        <v>17</v>
      </c>
    </row>
    <row r="44" spans="2:8" ht="15">
      <c r="B44" s="5" t="s">
        <v>19</v>
      </c>
      <c r="C44">
        <v>24.241</v>
      </c>
      <c r="D44" t="s">
        <v>22</v>
      </c>
      <c r="E44" s="14">
        <v>49.386</v>
      </c>
      <c r="F44" s="2" t="s">
        <v>22</v>
      </c>
      <c r="G44" s="2">
        <f>C44/E44*100</f>
        <v>49.08476086340258</v>
      </c>
      <c r="H44" s="2" t="s">
        <v>17</v>
      </c>
    </row>
    <row r="45" spans="2:8" ht="15">
      <c r="B45" s="5" t="s">
        <v>20</v>
      </c>
      <c r="C45">
        <v>4.219</v>
      </c>
      <c r="D45" t="s">
        <v>22</v>
      </c>
      <c r="E45" s="14">
        <v>10.865</v>
      </c>
      <c r="F45" s="2" t="s">
        <v>22</v>
      </c>
      <c r="G45" s="2">
        <f>C45/E45*100</f>
        <v>38.83110906580764</v>
      </c>
      <c r="H45" s="2" t="s">
        <v>17</v>
      </c>
    </row>
    <row r="46" spans="2:8" ht="15">
      <c r="B46" s="5" t="s">
        <v>21</v>
      </c>
      <c r="C46">
        <v>63.678</v>
      </c>
      <c r="D46" t="s">
        <v>22</v>
      </c>
      <c r="E46" s="14">
        <v>146.156</v>
      </c>
      <c r="F46" s="2" t="s">
        <v>22</v>
      </c>
      <c r="G46" s="2">
        <f>C46/E46*100</f>
        <v>43.568515832398255</v>
      </c>
      <c r="H46" s="2" t="s">
        <v>17</v>
      </c>
    </row>
    <row r="47" spans="2:8" ht="15">
      <c r="B47" s="7" t="s">
        <v>23</v>
      </c>
      <c r="C47" s="8">
        <v>2.573</v>
      </c>
      <c r="D47" s="8" t="s">
        <v>22</v>
      </c>
      <c r="E47" s="15">
        <v>8.6</v>
      </c>
      <c r="F47" s="13" t="s">
        <v>22</v>
      </c>
      <c r="G47" s="13">
        <f>C47/E47*100</f>
        <v>29.918604651162788</v>
      </c>
      <c r="H47" s="13" t="s">
        <v>17</v>
      </c>
    </row>
    <row r="48" spans="2:8" ht="15">
      <c r="B48" s="5" t="s">
        <v>24</v>
      </c>
      <c r="C48" s="6">
        <f>SUM(C43:C47)</f>
        <v>106.701</v>
      </c>
      <c r="D48" t="s">
        <v>22</v>
      </c>
      <c r="E48" s="2">
        <f>SUM(E43:E47)</f>
        <v>247.94500000000002</v>
      </c>
      <c r="F48" s="2" t="s">
        <v>22</v>
      </c>
      <c r="G48" s="18">
        <f>C48/E48*100</f>
        <v>43.03414063602815</v>
      </c>
      <c r="H48" s="17" t="s">
        <v>17</v>
      </c>
    </row>
    <row r="51" spans="3:7" ht="15">
      <c r="C51" s="4" t="s">
        <v>30</v>
      </c>
      <c r="D51" s="4"/>
      <c r="E51" s="4" t="s">
        <v>31</v>
      </c>
      <c r="F51" s="4"/>
      <c r="G51" s="4"/>
    </row>
    <row r="52" spans="2:8" ht="15">
      <c r="B52" s="5" t="s">
        <v>16</v>
      </c>
      <c r="C52">
        <v>11.99</v>
      </c>
      <c r="D52" t="s">
        <v>22</v>
      </c>
      <c r="E52" s="14">
        <v>32.938</v>
      </c>
      <c r="F52" s="2" t="s">
        <v>22</v>
      </c>
      <c r="G52" s="2"/>
      <c r="H52" s="2"/>
    </row>
    <row r="53" spans="2:8" ht="15">
      <c r="B53" s="5" t="s">
        <v>19</v>
      </c>
      <c r="C53">
        <v>24.241</v>
      </c>
      <c r="D53" t="s">
        <v>22</v>
      </c>
      <c r="E53" s="14">
        <v>49.386</v>
      </c>
      <c r="F53" s="2" t="s">
        <v>22</v>
      </c>
      <c r="G53" s="2"/>
      <c r="H53" s="2"/>
    </row>
    <row r="54" spans="2:8" ht="15">
      <c r="B54" s="5" t="s">
        <v>20</v>
      </c>
      <c r="C54">
        <v>4.219</v>
      </c>
      <c r="D54" t="s">
        <v>22</v>
      </c>
      <c r="E54" s="14">
        <v>10.865</v>
      </c>
      <c r="F54" s="2" t="s">
        <v>22</v>
      </c>
      <c r="G54" s="2"/>
      <c r="H54" s="2"/>
    </row>
    <row r="55" spans="2:8" ht="15">
      <c r="B55" s="5" t="s">
        <v>21</v>
      </c>
      <c r="C55">
        <v>63.678</v>
      </c>
      <c r="D55" t="s">
        <v>22</v>
      </c>
      <c r="E55" s="14">
        <v>146.156</v>
      </c>
      <c r="F55" s="2" t="s">
        <v>22</v>
      </c>
      <c r="G55" s="2"/>
      <c r="H55" s="2"/>
    </row>
    <row r="56" spans="2:8" ht="15">
      <c r="B56" s="7" t="s">
        <v>23</v>
      </c>
      <c r="C56" s="8">
        <v>2.573</v>
      </c>
      <c r="D56" s="8" t="s">
        <v>22</v>
      </c>
      <c r="E56" s="15">
        <v>8.6</v>
      </c>
      <c r="F56" s="13" t="s">
        <v>22</v>
      </c>
      <c r="G56" s="13"/>
      <c r="H56" s="13"/>
    </row>
    <row r="57" spans="2:8" ht="15">
      <c r="B57" s="5" t="s">
        <v>24</v>
      </c>
      <c r="C57" s="6">
        <f>SUM(C52:C56)</f>
        <v>106.701</v>
      </c>
      <c r="D57" t="s">
        <v>22</v>
      </c>
      <c r="E57" s="2">
        <f>SUM(E52:E56)</f>
        <v>247.94500000000002</v>
      </c>
      <c r="F57" s="2" t="s">
        <v>22</v>
      </c>
      <c r="G57" s="19">
        <f>C57/E57*100</f>
        <v>43.03414063602815</v>
      </c>
      <c r="H57" s="20" t="s">
        <v>17</v>
      </c>
    </row>
    <row r="60" spans="2:7" ht="15">
      <c r="B60" t="s">
        <v>42</v>
      </c>
      <c r="C60" s="6">
        <f>C11</f>
        <v>130.895</v>
      </c>
      <c r="D60" t="s">
        <v>26</v>
      </c>
      <c r="E60" s="2">
        <f>C60*1000000000/3.6</f>
        <v>36359722222.22223</v>
      </c>
      <c r="F60" t="s">
        <v>43</v>
      </c>
      <c r="G60" t="s">
        <v>30</v>
      </c>
    </row>
    <row r="61" spans="2:6" ht="15">
      <c r="B61" t="s">
        <v>44</v>
      </c>
      <c r="C61" s="2">
        <f>I20</f>
        <v>17811482.34</v>
      </c>
      <c r="D61" t="s">
        <v>49</v>
      </c>
      <c r="E61" s="2">
        <f>C61*1000</f>
        <v>17811482340</v>
      </c>
      <c r="F61" t="s">
        <v>50</v>
      </c>
    </row>
    <row r="62" spans="2:4" ht="15">
      <c r="B62" t="s">
        <v>45</v>
      </c>
      <c r="C62" s="3">
        <f>C61/E60*1000</f>
        <v>0.489868493250315</v>
      </c>
      <c r="D62" t="s">
        <v>46</v>
      </c>
    </row>
    <row r="63" spans="2:4" ht="15">
      <c r="B63" t="s">
        <v>47</v>
      </c>
      <c r="C63" s="12">
        <f>C62*1000</f>
        <v>489.868493250315</v>
      </c>
      <c r="D63" t="s">
        <v>48</v>
      </c>
    </row>
    <row r="65" spans="2:7" ht="15">
      <c r="B65" t="s">
        <v>42</v>
      </c>
      <c r="C65" s="6"/>
      <c r="D65" t="s">
        <v>26</v>
      </c>
      <c r="E65" s="2"/>
      <c r="F65" t="s">
        <v>43</v>
      </c>
      <c r="G65" t="s">
        <v>30</v>
      </c>
    </row>
    <row r="66" spans="2:6" ht="15">
      <c r="B66" t="s">
        <v>44</v>
      </c>
      <c r="C66" s="2"/>
      <c r="D66" t="s">
        <v>49</v>
      </c>
      <c r="E66" s="2"/>
      <c r="F66" t="s">
        <v>50</v>
      </c>
    </row>
    <row r="67" spans="2:4" ht="15">
      <c r="B67" t="s">
        <v>45</v>
      </c>
      <c r="C67" s="3"/>
      <c r="D67" t="s">
        <v>46</v>
      </c>
    </row>
    <row r="68" spans="2:4" ht="15">
      <c r="B68" t="s">
        <v>47</v>
      </c>
      <c r="C68" s="12"/>
      <c r="D68" t="s">
        <v>48</v>
      </c>
    </row>
    <row r="70" ht="15">
      <c r="A70" s="31" t="s">
        <v>0</v>
      </c>
    </row>
    <row r="71" spans="2:4" ht="15">
      <c r="B71" t="s">
        <v>60</v>
      </c>
      <c r="C71" s="6">
        <f>C63*5000/1000000</f>
        <v>2.449342466251575</v>
      </c>
      <c r="D71" t="s">
        <v>36</v>
      </c>
    </row>
    <row r="72" spans="2:4" ht="15">
      <c r="B72" t="s">
        <v>63</v>
      </c>
      <c r="C72" s="6">
        <f>G17*1000*3600000/1000000000</f>
        <v>280.8</v>
      </c>
      <c r="D72" t="s">
        <v>62</v>
      </c>
    </row>
    <row r="73" spans="2:4" ht="15">
      <c r="B73" t="s">
        <v>64</v>
      </c>
      <c r="C73" s="6">
        <f>C72*0.03/0.8</f>
        <v>10.53</v>
      </c>
      <c r="D73" t="s">
        <v>36</v>
      </c>
    </row>
    <row r="74" spans="2:4" ht="15">
      <c r="B74" t="s">
        <v>65</v>
      </c>
      <c r="C74" s="6">
        <f>C73+C71</f>
        <v>12.979342466251573</v>
      </c>
      <c r="D74" t="s">
        <v>36</v>
      </c>
    </row>
    <row r="76" spans="2:4" ht="15">
      <c r="B76" t="s">
        <v>66</v>
      </c>
      <c r="C76">
        <v>475</v>
      </c>
      <c r="D76" t="s">
        <v>67</v>
      </c>
    </row>
    <row r="77" spans="2:4" ht="15">
      <c r="B77" t="s">
        <v>68</v>
      </c>
      <c r="C77">
        <v>6</v>
      </c>
      <c r="D77" t="s">
        <v>69</v>
      </c>
    </row>
    <row r="78" spans="2:4" ht="15">
      <c r="B78" t="s">
        <v>70</v>
      </c>
      <c r="C78">
        <f>C77*C76</f>
        <v>2850</v>
      </c>
      <c r="D78" t="s">
        <v>43</v>
      </c>
    </row>
    <row r="79" spans="2:4" ht="15">
      <c r="B79" t="s">
        <v>71</v>
      </c>
      <c r="C79">
        <f>C78/30000*100</f>
        <v>9.5</v>
      </c>
      <c r="D79" t="s">
        <v>17</v>
      </c>
    </row>
    <row r="81" spans="2:4" ht="15">
      <c r="B81" t="s">
        <v>4</v>
      </c>
      <c r="C81" s="12">
        <f>'[1]Emmisionsdata'!$D$31</f>
        <v>11.861111111111112</v>
      </c>
      <c r="D81" t="s">
        <v>5</v>
      </c>
    </row>
    <row r="82" ht="15">
      <c r="B82" t="s">
        <v>6</v>
      </c>
    </row>
    <row r="84" ht="15">
      <c r="A84" s="31" t="s">
        <v>72</v>
      </c>
    </row>
    <row r="85" spans="2:4" ht="15">
      <c r="B85" t="s">
        <v>7</v>
      </c>
      <c r="C85">
        <v>1.25</v>
      </c>
      <c r="D85" t="s">
        <v>8</v>
      </c>
    </row>
    <row r="86" spans="2:4" ht="15">
      <c r="B86" t="s">
        <v>9</v>
      </c>
      <c r="C86">
        <f>C85*C78</f>
        <v>3562.5</v>
      </c>
      <c r="D86" t="s">
        <v>8</v>
      </c>
    </row>
    <row r="87" spans="2:4" ht="15">
      <c r="B87" t="s">
        <v>10</v>
      </c>
      <c r="C87">
        <f>6*19*2</f>
        <v>228</v>
      </c>
      <c r="D87" t="s">
        <v>14</v>
      </c>
    </row>
    <row r="88" spans="2:4" ht="15">
      <c r="B88" t="s">
        <v>13</v>
      </c>
      <c r="C88">
        <v>400</v>
      </c>
      <c r="D88" t="s">
        <v>14</v>
      </c>
    </row>
    <row r="89" spans="2:4" ht="15">
      <c r="B89" t="s">
        <v>11</v>
      </c>
      <c r="C89">
        <v>25000</v>
      </c>
      <c r="D89" t="s">
        <v>14</v>
      </c>
    </row>
    <row r="90" spans="2:4" ht="15">
      <c r="B90" t="s">
        <v>12</v>
      </c>
      <c r="C90" s="6">
        <f>C89/(C86-C87-C88)</f>
        <v>8.519338899301415</v>
      </c>
      <c r="D90" t="s">
        <v>15</v>
      </c>
    </row>
    <row r="92" ht="15">
      <c r="A92" s="31" t="s">
        <v>73</v>
      </c>
    </row>
    <row r="93" spans="2:4" ht="15">
      <c r="B93" t="s">
        <v>74</v>
      </c>
      <c r="C93">
        <v>10</v>
      </c>
      <c r="D93" t="s">
        <v>69</v>
      </c>
    </row>
    <row r="94" spans="2:4" ht="15">
      <c r="B94" t="s">
        <v>75</v>
      </c>
      <c r="C94">
        <v>125</v>
      </c>
      <c r="D94" t="s">
        <v>67</v>
      </c>
    </row>
    <row r="95" spans="2:4" ht="15">
      <c r="B95" t="s">
        <v>76</v>
      </c>
      <c r="C95">
        <f>C94*C93</f>
        <v>1250</v>
      </c>
      <c r="D95" t="s">
        <v>43</v>
      </c>
    </row>
    <row r="96" spans="2:4" ht="15">
      <c r="B96" t="s">
        <v>77</v>
      </c>
      <c r="C96">
        <v>2</v>
      </c>
      <c r="D96" t="s">
        <v>78</v>
      </c>
    </row>
    <row r="97" spans="2:4" ht="15">
      <c r="B97" t="s">
        <v>11</v>
      </c>
      <c r="C97">
        <f>2800*C93</f>
        <v>28000</v>
      </c>
      <c r="D97" t="s">
        <v>79</v>
      </c>
    </row>
    <row r="98" spans="2:4" ht="15">
      <c r="B98" t="s">
        <v>80</v>
      </c>
      <c r="C98">
        <f>C96*C95</f>
        <v>2500</v>
      </c>
      <c r="D98" t="s">
        <v>14</v>
      </c>
    </row>
    <row r="99" spans="2:4" ht="15">
      <c r="B99" t="s">
        <v>12</v>
      </c>
      <c r="C99">
        <f>C97/C98</f>
        <v>11.2</v>
      </c>
      <c r="D99" t="s">
        <v>15</v>
      </c>
    </row>
    <row r="101" ht="15">
      <c r="A101" s="31" t="s">
        <v>81</v>
      </c>
    </row>
    <row r="102" spans="2:4" ht="15">
      <c r="B102" t="s">
        <v>82</v>
      </c>
      <c r="C102">
        <f>C95</f>
        <v>1250</v>
      </c>
      <c r="D102" t="s">
        <v>43</v>
      </c>
    </row>
    <row r="103" spans="2:4" ht="15">
      <c r="B103" t="s">
        <v>83</v>
      </c>
      <c r="C103">
        <v>0.2</v>
      </c>
      <c r="D103" t="s">
        <v>85</v>
      </c>
    </row>
    <row r="104" spans="2:4" ht="15">
      <c r="B104" t="s">
        <v>84</v>
      </c>
      <c r="C104">
        <f>C102/C103</f>
        <v>6250</v>
      </c>
      <c r="D104" t="s">
        <v>86</v>
      </c>
    </row>
  </sheetData>
  <sheetProtection/>
  <mergeCells count="4">
    <mergeCell ref="O1:R1"/>
    <mergeCell ref="L1:L2"/>
    <mergeCell ref="M1:M2"/>
    <mergeCell ref="N1:N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 B&amp;W Diesel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Klara Møller Rasmussen</cp:lastModifiedBy>
  <cp:lastPrinted>2011-02-01T13:00:07Z</cp:lastPrinted>
  <dcterms:created xsi:type="dcterms:W3CDTF">2006-01-30T15:00:15Z</dcterms:created>
  <dcterms:modified xsi:type="dcterms:W3CDTF">2019-09-26T11:31:47Z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-833917777</vt:i4>
  </property>
  <property fmtid="{D5CDD505-2E9C-101B-9397-08002B2CF9AE}" pid="3" name="_NewReviewCycle">
    <vt:lpwstr/>
  </property>
  <property fmtid="{D5CDD505-2E9C-101B-9397-08002B2CF9AE}" pid="4" name="_EmailSubject">
    <vt:lpwstr>Test</vt:lpwstr>
  </property>
  <property fmtid="{D5CDD505-2E9C-101B-9397-08002B2CF9AE}" pid="5" name="_AuthorEmail">
    <vt:lpwstr>EIP@cowi.dk</vt:lpwstr>
  </property>
  <property fmtid="{D5CDD505-2E9C-101B-9397-08002B2CF9AE}" pid="6" name="_AuthorEmailDisplayName">
    <vt:lpwstr>Eigil Pade</vt:lpwstr>
  </property>
  <property fmtid="{D5CDD505-2E9C-101B-9397-08002B2CF9AE}" pid="7" name="_PreviousAdHocReviewCycleID">
    <vt:i4>1100748119</vt:i4>
  </property>
  <property fmtid="{D5CDD505-2E9C-101B-9397-08002B2CF9AE}" pid="8" name="_ReviewingToolsShownOnce">
    <vt:lpwstr/>
  </property>
</Properties>
</file>